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wmf" ContentType="image/x-wmf"/>
  <Override PartName="/xl/embeddings/oleObject10.bin" ContentType="application/vnd.openxmlformats-officedocument.oleObject"/>
  <Override PartName="/xl/embeddings/oleObject11.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695" windowHeight="1254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S38" i="2"/>
  <c r="S37"/>
  <c r="S36"/>
  <c r="S35"/>
  <c r="S34"/>
  <c r="S33"/>
  <c r="R38"/>
  <c r="R37"/>
  <c r="R36"/>
  <c r="R35"/>
  <c r="R34"/>
  <c r="R33"/>
  <c r="Q38"/>
  <c r="Q37"/>
  <c r="Q36"/>
  <c r="Q35"/>
  <c r="Q34"/>
  <c r="Q33"/>
  <c r="P38"/>
  <c r="P37"/>
  <c r="P36"/>
  <c r="P35"/>
  <c r="P34"/>
  <c r="P33"/>
  <c r="O38"/>
  <c r="O37"/>
  <c r="O36"/>
  <c r="O35"/>
  <c r="O34"/>
  <c r="O33"/>
  <c r="M31"/>
  <c r="L31"/>
  <c r="K31"/>
  <c r="J31"/>
  <c r="I31"/>
  <c r="H31"/>
  <c r="M24"/>
  <c r="L24"/>
  <c r="K24"/>
  <c r="J24"/>
  <c r="I24"/>
  <c r="H24"/>
  <c r="D24"/>
  <c r="K26" s="1"/>
  <c r="D17"/>
  <c r="D16"/>
  <c r="D11"/>
  <c r="D12" s="1"/>
  <c r="D25" s="1"/>
  <c r="D6"/>
  <c r="D5"/>
  <c r="D10" s="1"/>
  <c r="D14" s="1"/>
  <c r="D15" s="1"/>
  <c r="I24" i="1"/>
  <c r="H24"/>
  <c r="I22"/>
  <c r="F22"/>
  <c r="D17"/>
  <c r="E17"/>
  <c r="F8"/>
  <c r="F7"/>
  <c r="M26" i="2" l="1"/>
  <c r="H26"/>
  <c r="L26"/>
  <c r="I26"/>
  <c r="J26"/>
</calcChain>
</file>

<file path=xl/sharedStrings.xml><?xml version="1.0" encoding="utf-8"?>
<sst xmlns="http://schemas.openxmlformats.org/spreadsheetml/2006/main" count="115" uniqueCount="93">
  <si>
    <t>2. Зразок розрахунку шахтних водовідливних установок</t>
  </si>
  <si>
    <t>2.1. Вихідні данні.</t>
  </si>
  <si>
    <t>Розрахувати та обрати електромеханічне обладнання водовідливної установки для наступних вихідних даних:</t>
  </si>
  <si>
    <t xml:space="preserve">- глибина шахти </t>
  </si>
  <si>
    <t xml:space="preserve">- нормальний добовий приток води </t>
  </si>
  <si>
    <t>- тривалість підвищеного притоку води – 60 діб;</t>
  </si>
  <si>
    <t xml:space="preserve">Розрахунок виконується в наступній послідовності. </t>
  </si>
  <si>
    <t xml:space="preserve"> м3/доб;</t>
  </si>
  <si>
    <r>
      <t>кг/м</t>
    </r>
    <r>
      <rPr>
        <vertAlign val="superscript"/>
        <sz val="10"/>
        <color theme="1"/>
        <rFont val="Times New Roman"/>
        <family val="1"/>
        <charset val="204"/>
      </rPr>
      <t>3</t>
    </r>
  </si>
  <si>
    <t>де: Т = 20 год – розрахунковий час роботи установки напротязі доби по відкачуванню нормального притоку.</t>
  </si>
  <si>
    <r>
      <t>м</t>
    </r>
    <r>
      <rPr>
        <vertAlign val="superscript"/>
        <sz val="9"/>
        <color theme="1"/>
        <rFont val="Times New Roman"/>
        <family val="1"/>
        <charset val="204"/>
      </rPr>
      <t>3</t>
    </r>
    <r>
      <rPr>
        <sz val="9"/>
        <color theme="1"/>
        <rFont val="Times New Roman"/>
        <family val="1"/>
        <charset val="204"/>
      </rPr>
      <t>/год;</t>
    </r>
  </si>
  <si>
    <t>2.3. Вибір кількості та типу насосів, схеми трубопроводу</t>
  </si>
  <si>
    <t>, м</t>
  </si>
  <si>
    <t>Нг=</t>
  </si>
  <si>
    <t>+</t>
  </si>
  <si>
    <t>м</t>
  </si>
  <si>
    <t>Нр=</t>
  </si>
  <si>
    <t>*</t>
  </si>
  <si>
    <t xml:space="preserve">максимальний добовий приток води </t>
  </si>
  <si>
    <t>діб</t>
  </si>
  <si>
    <t>кг/м3</t>
  </si>
  <si>
    <t>Розрахункова годинна подача установки</t>
  </si>
  <si>
    <t xml:space="preserve">Глибина шахти </t>
  </si>
  <si>
    <t xml:space="preserve">Нормальний добовий приток води </t>
  </si>
  <si>
    <t xml:space="preserve">Максимальний добовий приток води </t>
  </si>
  <si>
    <t xml:space="preserve">Тривалість підвищеного притоку води </t>
  </si>
  <si>
    <t>Питома маса (щільність)</t>
  </si>
  <si>
    <t>Розрахунковий час роботи установки напротязі доби по відкачуванню нормального притоку</t>
  </si>
  <si>
    <t>Т</t>
  </si>
  <si>
    <t xml:space="preserve">                  ,кг/м3</t>
  </si>
  <si>
    <t>м3/год</t>
  </si>
  <si>
    <t>п</t>
  </si>
  <si>
    <t>год</t>
  </si>
  <si>
    <t>Показники</t>
  </si>
  <si>
    <t>позначення</t>
  </si>
  <si>
    <t>значення</t>
  </si>
  <si>
    <t>од.вимі рювання</t>
  </si>
  <si>
    <t>Геометрична висота</t>
  </si>
  <si>
    <t>Нг</t>
  </si>
  <si>
    <t>Нвдоп , допустима висота всмоктування</t>
  </si>
  <si>
    <t>Нр</t>
  </si>
  <si>
    <t xml:space="preserve">Розрахунковий напір </t>
  </si>
  <si>
    <t>Графік областей промислового використання насосів ВНС(ЦНС)</t>
  </si>
  <si>
    <t>Обираємо насос</t>
  </si>
  <si>
    <t>ВНС</t>
  </si>
  <si>
    <t>Оптимальний зовнішній діаметр напірного трубопроводу</t>
  </si>
  <si>
    <t>мм</t>
  </si>
  <si>
    <t>при2</t>
  </si>
  <si>
    <t>при 3</t>
  </si>
  <si>
    <t>К -коефіцієнт,  від кількості напірних трубопроводів</t>
  </si>
  <si>
    <t>Діаметр всмоктувального трубопроводу</t>
  </si>
  <si>
    <t>dн</t>
  </si>
  <si>
    <t>dвс</t>
  </si>
  <si>
    <t>до всмоктуючого трубопровод</t>
  </si>
  <si>
    <t>Товщина стінки напірного трубопроводу</t>
  </si>
  <si>
    <t>Товщина стінки всмоктуючого трубопроводу</t>
  </si>
  <si>
    <t>δн</t>
  </si>
  <si>
    <t>δвс</t>
  </si>
  <si>
    <t>коефіцієнт запасу міцності</t>
  </si>
  <si>
    <t>тиск в нижній частині трубопроводу</t>
  </si>
  <si>
    <t>зовнішній діаметр труби</t>
  </si>
  <si>
    <t>розрахунковий опір матеріалу труб</t>
  </si>
  <si>
    <t>Ст10</t>
  </si>
  <si>
    <t>Ст20</t>
  </si>
  <si>
    <t>dз</t>
  </si>
  <si>
    <t>р</t>
  </si>
  <si>
    <t>мПа</t>
  </si>
  <si>
    <t>швидкість корозійного зносу зовнішньої поверхні труб</t>
  </si>
  <si>
    <t>швидкість корозійного зносу внутрішньої поверхні труб</t>
  </si>
  <si>
    <t>α1</t>
  </si>
  <si>
    <t>α2</t>
  </si>
  <si>
    <t>мм/рік</t>
  </si>
  <si>
    <t>коефіцієнт, який враховує мінусовий допуск товщини стінки</t>
  </si>
  <si>
    <t>К1</t>
  </si>
  <si>
    <t>постійна трубопроводу</t>
  </si>
  <si>
    <t>R</t>
  </si>
  <si>
    <t>Витрата</t>
  </si>
  <si>
    <r>
      <t>, м</t>
    </r>
    <r>
      <rPr>
        <vertAlign val="superscript"/>
        <sz val="9"/>
        <color theme="1"/>
        <rFont val="Times New Roman"/>
        <family val="1"/>
        <charset val="204"/>
      </rPr>
      <t>3</t>
    </r>
    <r>
      <rPr>
        <sz val="9"/>
        <color theme="1"/>
        <rFont val="Times New Roman"/>
        <family val="1"/>
        <charset val="204"/>
      </rPr>
      <t>/год</t>
    </r>
  </si>
  <si>
    <t xml:space="preserve">Напір </t>
  </si>
  <si>
    <t>кількість робочих коліс</t>
  </si>
  <si>
    <t>Z</t>
  </si>
  <si>
    <t>ВНС 300-120</t>
  </si>
  <si>
    <t>Напір h0 при нульовій подачі</t>
  </si>
  <si>
    <t>hо,м</t>
  </si>
  <si>
    <t>η</t>
  </si>
  <si>
    <t>Нв доп</t>
  </si>
  <si>
    <t>-</t>
  </si>
  <si>
    <t>значення обирається за графіком на одне робоче колесо</t>
  </si>
  <si>
    <t>Н,м</t>
  </si>
  <si>
    <t xml:space="preserve">    , м3/год</t>
  </si>
  <si>
    <t xml:space="preserve">       , м</t>
  </si>
  <si>
    <t>Нв доп,м</t>
  </si>
  <si>
    <t>Робочий режим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</si>
</sst>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13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justify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0" fontId="5" fillId="0" borderId="0" xfId="0" applyFont="1" applyAlignment="1"/>
    <xf numFmtId="0" fontId="4" fillId="0" borderId="0" xfId="0" applyFont="1" applyBorder="1"/>
    <xf numFmtId="0" fontId="9" fillId="0" borderId="1" xfId="0" applyFont="1" applyBorder="1" applyAlignment="1">
      <alignment horizontal="justify"/>
    </xf>
    <xf numFmtId="0" fontId="8" fillId="0" borderId="1" xfId="0" applyFont="1" applyBorder="1"/>
    <xf numFmtId="0" fontId="0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/>
    <xf numFmtId="0" fontId="9" fillId="0" borderId="1" xfId="0" applyFont="1" applyFill="1" applyBorder="1" applyAlignment="1">
      <alignment horizontal="left"/>
    </xf>
    <xf numFmtId="1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0" fontId="12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1" fontId="9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0" fontId="12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2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center" vertical="top" wrapText="1"/>
    </xf>
    <xf numFmtId="0" fontId="11" fillId="3" borderId="0" xfId="0" applyNumberFormat="1" applyFont="1" applyFill="1" applyBorder="1" applyAlignment="1">
      <alignment wrapText="1"/>
    </xf>
    <xf numFmtId="0" fontId="9" fillId="3" borderId="0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wrapText="1"/>
    </xf>
    <xf numFmtId="0" fontId="9" fillId="3" borderId="0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1" fontId="9" fillId="3" borderId="0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6657748309072668E-2"/>
          <c:y val="2.5848599970835138E-2"/>
          <c:w val="0.88971020273497703"/>
          <c:h val="0.90630785075916143"/>
        </c:manualLayout>
      </c:layout>
      <c:scatterChart>
        <c:scatterStyle val="smoothMarker"/>
        <c:ser>
          <c:idx val="0"/>
          <c:order val="0"/>
          <c:tx>
            <c:strRef>
              <c:f>Лист2!$P$31:$P$32</c:f>
              <c:strCache>
                <c:ptCount val="1"/>
                <c:pt idx="0">
                  <c:v>Робочий режим        , м</c:v>
                </c:pt>
              </c:strCache>
            </c:strRef>
          </c:tx>
          <c:marker>
            <c:symbol val="none"/>
          </c:marker>
          <c:xVal>
            <c:numRef>
              <c:f>Лист2!$O$33:$O$38</c:f>
              <c:numCache>
                <c:formatCode>General</c:formatCode>
                <c:ptCount val="6"/>
                <c:pt idx="0">
                  <c:v>0</c:v>
                </c:pt>
                <c:pt idx="1">
                  <c:v>75</c:v>
                </c:pt>
                <c:pt idx="2">
                  <c:v>150</c:v>
                </c:pt>
                <c:pt idx="3">
                  <c:v>225</c:v>
                </c:pt>
                <c:pt idx="4">
                  <c:v>300</c:v>
                </c:pt>
                <c:pt idx="5">
                  <c:v>375</c:v>
                </c:pt>
              </c:numCache>
            </c:numRef>
          </c:xVal>
          <c:yVal>
            <c:numRef>
              <c:f>Лист2!$P$33:$P$38</c:f>
              <c:numCache>
                <c:formatCode>0</c:formatCode>
                <c:ptCount val="6"/>
                <c:pt idx="0">
                  <c:v>304</c:v>
                </c:pt>
                <c:pt idx="1">
                  <c:v>305.97776460553138</c:v>
                </c:pt>
                <c:pt idx="2">
                  <c:v>311.91105842212551</c:v>
                </c:pt>
                <c:pt idx="3">
                  <c:v>321.79988144978239</c:v>
                </c:pt>
                <c:pt idx="4">
                  <c:v>335.64423368850208</c:v>
                </c:pt>
                <c:pt idx="5">
                  <c:v>353.44411513828447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Лист2!$Q$31:$Q$32</c:f>
              <c:strCache>
                <c:ptCount val="1"/>
                <c:pt idx="0">
                  <c:v>Робочий режим η</c:v>
                </c:pt>
              </c:strCache>
            </c:strRef>
          </c:tx>
          <c:marker>
            <c:symbol val="none"/>
          </c:marker>
          <c:xVal>
            <c:numRef>
              <c:f>Лист2!$O$33:$O$38</c:f>
              <c:numCache>
                <c:formatCode>General</c:formatCode>
                <c:ptCount val="6"/>
                <c:pt idx="0">
                  <c:v>0</c:v>
                </c:pt>
                <c:pt idx="1">
                  <c:v>75</c:v>
                </c:pt>
                <c:pt idx="2">
                  <c:v>150</c:v>
                </c:pt>
                <c:pt idx="3">
                  <c:v>225</c:v>
                </c:pt>
                <c:pt idx="4">
                  <c:v>300</c:v>
                </c:pt>
                <c:pt idx="5">
                  <c:v>375</c:v>
                </c:pt>
              </c:numCache>
            </c:numRef>
          </c:xVal>
          <c:yVal>
            <c:numRef>
              <c:f>Лист2!$Q$33:$Q$38</c:f>
              <c:numCache>
                <c:formatCode>General</c:formatCode>
                <c:ptCount val="6"/>
                <c:pt idx="0">
                  <c:v>0</c:v>
                </c:pt>
                <c:pt idx="1">
                  <c:v>0.36</c:v>
                </c:pt>
                <c:pt idx="2">
                  <c:v>0.56000000000000005</c:v>
                </c:pt>
                <c:pt idx="3">
                  <c:v>0.72</c:v>
                </c:pt>
                <c:pt idx="4">
                  <c:v>0.68</c:v>
                </c:pt>
                <c:pt idx="5">
                  <c:v>0.64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Лист2!$R$31:$R$32</c:f>
              <c:strCache>
                <c:ptCount val="1"/>
                <c:pt idx="0">
                  <c:v>Робочий режим Нв доп,м</c:v>
                </c:pt>
              </c:strCache>
            </c:strRef>
          </c:tx>
          <c:marker>
            <c:symbol val="none"/>
          </c:marker>
          <c:xVal>
            <c:numRef>
              <c:f>Лист2!$O$33:$O$38</c:f>
              <c:numCache>
                <c:formatCode>General</c:formatCode>
                <c:ptCount val="6"/>
                <c:pt idx="0">
                  <c:v>0</c:v>
                </c:pt>
                <c:pt idx="1">
                  <c:v>75</c:v>
                </c:pt>
                <c:pt idx="2">
                  <c:v>150</c:v>
                </c:pt>
                <c:pt idx="3">
                  <c:v>225</c:v>
                </c:pt>
                <c:pt idx="4">
                  <c:v>300</c:v>
                </c:pt>
                <c:pt idx="5">
                  <c:v>375</c:v>
                </c:pt>
              </c:numCache>
            </c:numRef>
          </c:xVal>
          <c:yVal>
            <c:numRef>
              <c:f>Лист2!$R$33:$R$38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6.2</c:v>
                </c:pt>
                <c:pt idx="4">
                  <c:v>4.3</c:v>
                </c:pt>
                <c:pt idx="5">
                  <c:v>1.3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Лист2!$S$31:$S$32</c:f>
              <c:strCache>
                <c:ptCount val="1"/>
                <c:pt idx="0">
                  <c:v>Робочий режим Н,м</c:v>
                </c:pt>
              </c:strCache>
            </c:strRef>
          </c:tx>
          <c:marker>
            <c:symbol val="none"/>
          </c:marker>
          <c:xVal>
            <c:numRef>
              <c:f>Лист2!$O$33:$O$38</c:f>
              <c:numCache>
                <c:formatCode>General</c:formatCode>
                <c:ptCount val="6"/>
                <c:pt idx="0">
                  <c:v>0</c:v>
                </c:pt>
                <c:pt idx="1">
                  <c:v>75</c:v>
                </c:pt>
                <c:pt idx="2">
                  <c:v>150</c:v>
                </c:pt>
                <c:pt idx="3">
                  <c:v>225</c:v>
                </c:pt>
                <c:pt idx="4">
                  <c:v>300</c:v>
                </c:pt>
                <c:pt idx="5">
                  <c:v>375</c:v>
                </c:pt>
              </c:numCache>
            </c:numRef>
          </c:xVal>
          <c:yVal>
            <c:numRef>
              <c:f>Лист2!$S$33:$S$38</c:f>
              <c:numCache>
                <c:formatCode>General</c:formatCode>
                <c:ptCount val="6"/>
                <c:pt idx="0">
                  <c:v>331.5</c:v>
                </c:pt>
                <c:pt idx="1">
                  <c:v>337.5</c:v>
                </c:pt>
                <c:pt idx="2">
                  <c:v>337.5</c:v>
                </c:pt>
                <c:pt idx="3">
                  <c:v>325</c:v>
                </c:pt>
                <c:pt idx="4">
                  <c:v>300</c:v>
                </c:pt>
                <c:pt idx="5">
                  <c:v>250</c:v>
                </c:pt>
              </c:numCache>
            </c:numRef>
          </c:yVal>
          <c:smooth val="1"/>
        </c:ser>
        <c:axId val="105919232"/>
        <c:axId val="105920768"/>
      </c:scatterChart>
      <c:valAx>
        <c:axId val="105919232"/>
        <c:scaling>
          <c:orientation val="minMax"/>
        </c:scaling>
        <c:axPos val="b"/>
        <c:numFmt formatCode="General" sourceLinked="1"/>
        <c:tickLblPos val="nextTo"/>
        <c:crossAx val="105920768"/>
        <c:crosses val="autoZero"/>
        <c:crossBetween val="midCat"/>
      </c:valAx>
      <c:valAx>
        <c:axId val="105920768"/>
        <c:scaling>
          <c:orientation val="minMax"/>
        </c:scaling>
        <c:axPos val="l"/>
        <c:majorGridlines/>
        <c:numFmt formatCode="0" sourceLinked="1"/>
        <c:tickLblPos val="nextTo"/>
        <c:crossAx val="105919232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w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wmf"/><Relationship Id="rId3" Type="http://schemas.openxmlformats.org/officeDocument/2006/relationships/image" Target="../media/image12.emf"/><Relationship Id="rId7" Type="http://schemas.openxmlformats.org/officeDocument/2006/relationships/image" Target="../media/image15.w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4.wmf"/><Relationship Id="rId5" Type="http://schemas.openxmlformats.org/officeDocument/2006/relationships/image" Target="../media/image13.e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2</xdr:row>
      <xdr:rowOff>38100</xdr:rowOff>
    </xdr:from>
    <xdr:to>
      <xdr:col>17</xdr:col>
      <xdr:colOff>447675</xdr:colOff>
      <xdr:row>14</xdr:row>
      <xdr:rowOff>0</xdr:rowOff>
    </xdr:to>
    <xdr:pic>
      <xdr:nvPicPr>
        <xdr:cNvPr id="2054" name="Picture 6" descr="Изображение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38100"/>
          <a:ext cx="4629150" cy="3248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209549</xdr:colOff>
      <xdr:row>15</xdr:row>
      <xdr:rowOff>197644</xdr:rowOff>
    </xdr:from>
    <xdr:to>
      <xdr:col>20</xdr:col>
      <xdr:colOff>128587</xdr:colOff>
      <xdr:row>26</xdr:row>
      <xdr:rowOff>185737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13" Type="http://schemas.openxmlformats.org/officeDocument/2006/relationships/oleObject" Target="../embeddings/oleObject18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12.bin"/><Relationship Id="rId12" Type="http://schemas.openxmlformats.org/officeDocument/2006/relationships/oleObject" Target="../embeddings/oleObject17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oleObject" Target="../embeddings/oleObject10.bin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9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4"/>
  <sheetViews>
    <sheetView topLeftCell="A4" workbookViewId="0">
      <selection activeCell="J14" sqref="J14"/>
    </sheetView>
  </sheetViews>
  <sheetFormatPr defaultRowHeight="15"/>
  <cols>
    <col min="3" max="3" width="21.85546875" customWidth="1"/>
    <col min="5" max="5" width="4.5703125" customWidth="1"/>
    <col min="6" max="6" width="6" customWidth="1"/>
    <col min="7" max="7" width="2.5703125" customWidth="1"/>
    <col min="8" max="8" width="5.42578125" customWidth="1"/>
    <col min="10" max="10" width="13.85546875" customWidth="1"/>
  </cols>
  <sheetData>
    <row r="3" spans="1:10">
      <c r="C3" s="8" t="s">
        <v>0</v>
      </c>
      <c r="D3" s="8"/>
      <c r="E3" s="8"/>
      <c r="F3" s="8"/>
      <c r="G3" s="4"/>
      <c r="H3" s="4"/>
    </row>
    <row r="4" spans="1:10">
      <c r="A4" s="4"/>
      <c r="B4" s="4"/>
      <c r="C4" s="5" t="s">
        <v>1</v>
      </c>
      <c r="D4" s="4"/>
      <c r="E4" s="4"/>
      <c r="F4" s="4"/>
      <c r="G4" s="4"/>
      <c r="H4" s="4"/>
    </row>
    <row r="5" spans="1:10">
      <c r="A5" s="4"/>
      <c r="B5" s="4"/>
      <c r="C5" s="55" t="s">
        <v>2</v>
      </c>
      <c r="D5" s="55"/>
      <c r="E5" s="55"/>
      <c r="F5" s="55"/>
      <c r="G5" s="55"/>
      <c r="H5" s="55"/>
    </row>
    <row r="6" spans="1:10" ht="24.75" customHeight="1">
      <c r="A6" s="4"/>
      <c r="B6" s="4"/>
      <c r="C6" s="6" t="s">
        <v>3</v>
      </c>
      <c r="D6" s="4">
        <v>300</v>
      </c>
      <c r="E6" s="4"/>
      <c r="F6" s="4"/>
      <c r="G6" s="4"/>
      <c r="H6" s="4"/>
    </row>
    <row r="7" spans="1:10">
      <c r="A7" s="4"/>
      <c r="B7" s="4"/>
      <c r="C7" s="56" t="s">
        <v>4</v>
      </c>
      <c r="D7" s="56"/>
      <c r="E7" s="56"/>
      <c r="F7" s="4">
        <f xml:space="preserve"> 5260</f>
        <v>5260</v>
      </c>
      <c r="G7" s="4" t="s">
        <v>7</v>
      </c>
      <c r="H7" s="4"/>
    </row>
    <row r="8" spans="1:10">
      <c r="A8" s="4"/>
      <c r="B8" s="4"/>
      <c r="C8" s="56" t="s">
        <v>18</v>
      </c>
      <c r="D8" s="56"/>
      <c r="E8" s="56"/>
      <c r="F8" s="4">
        <f>8150</f>
        <v>8150</v>
      </c>
      <c r="G8" s="4" t="s">
        <v>7</v>
      </c>
      <c r="H8" s="4"/>
    </row>
    <row r="9" spans="1:10">
      <c r="A9" s="4"/>
      <c r="B9" s="4"/>
      <c r="C9" s="56" t="s">
        <v>5</v>
      </c>
      <c r="D9" s="56"/>
      <c r="E9" s="56"/>
      <c r="F9" s="56"/>
      <c r="G9" s="4"/>
      <c r="H9" s="4"/>
    </row>
    <row r="10" spans="1:10" ht="16.5">
      <c r="A10" s="4"/>
      <c r="B10" s="4"/>
      <c r="C10" s="56"/>
      <c r="D10" s="56"/>
      <c r="E10" s="56"/>
      <c r="F10" s="7">
        <v>1020</v>
      </c>
      <c r="G10" s="4" t="s">
        <v>8</v>
      </c>
      <c r="H10" s="4"/>
    </row>
    <row r="11" spans="1:10">
      <c r="C11" s="1"/>
    </row>
    <row r="12" spans="1:10">
      <c r="C12" s="2" t="s">
        <v>6</v>
      </c>
    </row>
    <row r="13" spans="1:10">
      <c r="C13" s="58"/>
    </row>
    <row r="14" spans="1:10" ht="21" customHeight="1">
      <c r="C14" s="58"/>
    </row>
    <row r="15" spans="1:10">
      <c r="C15" s="59" t="s">
        <v>9</v>
      </c>
      <c r="D15" s="59"/>
      <c r="E15" s="59"/>
      <c r="F15" s="59"/>
      <c r="G15" s="59"/>
      <c r="H15" s="59"/>
      <c r="I15" s="59"/>
      <c r="J15" s="59"/>
    </row>
    <row r="16" spans="1:10">
      <c r="C16" s="3"/>
      <c r="D16" s="3"/>
      <c r="E16" s="3"/>
      <c r="F16" s="3"/>
      <c r="G16" s="3"/>
      <c r="H16" s="3"/>
      <c r="I16" s="3"/>
    </row>
    <row r="17" spans="3:10">
      <c r="C17" s="60"/>
      <c r="D17" s="9">
        <f>F7</f>
        <v>5260</v>
      </c>
      <c r="E17" s="60">
        <f>F7/20</f>
        <v>263</v>
      </c>
      <c r="F17" s="3"/>
      <c r="G17" s="3"/>
      <c r="H17" s="3"/>
      <c r="I17" s="3"/>
    </row>
    <row r="18" spans="3:10">
      <c r="C18" s="60"/>
      <c r="D18" s="9">
        <v>20</v>
      </c>
      <c r="E18" s="60"/>
      <c r="F18" s="2" t="s">
        <v>10</v>
      </c>
      <c r="G18" s="3"/>
      <c r="H18" s="3"/>
      <c r="I18" s="3"/>
    </row>
    <row r="20" spans="3:10">
      <c r="C20" s="57" t="s">
        <v>11</v>
      </c>
      <c r="D20" s="57"/>
      <c r="E20" s="57"/>
      <c r="F20" s="57"/>
    </row>
    <row r="22" spans="3:10">
      <c r="D22" t="s">
        <v>12</v>
      </c>
      <c r="E22" t="s">
        <v>13</v>
      </c>
      <c r="F22">
        <f>D6</f>
        <v>300</v>
      </c>
      <c r="G22" t="s">
        <v>14</v>
      </c>
      <c r="H22">
        <v>4</v>
      </c>
      <c r="I22">
        <f>F22+H22</f>
        <v>304</v>
      </c>
      <c r="J22" t="s">
        <v>15</v>
      </c>
    </row>
    <row r="24" spans="3:10">
      <c r="E24" t="s">
        <v>16</v>
      </c>
      <c r="F24">
        <v>1.08</v>
      </c>
      <c r="G24" t="s">
        <v>17</v>
      </c>
      <c r="H24">
        <f>I22</f>
        <v>304</v>
      </c>
      <c r="I24">
        <f>F24*H24</f>
        <v>328.32000000000005</v>
      </c>
      <c r="J24" t="s">
        <v>15</v>
      </c>
    </row>
  </sheetData>
  <mergeCells count="10">
    <mergeCell ref="C5:H5"/>
    <mergeCell ref="C7:E7"/>
    <mergeCell ref="C8:E8"/>
    <mergeCell ref="C9:F9"/>
    <mergeCell ref="C20:F20"/>
    <mergeCell ref="C10:E10"/>
    <mergeCell ref="C13:C14"/>
    <mergeCell ref="C15:J15"/>
    <mergeCell ref="C17:C18"/>
    <mergeCell ref="E17:E18"/>
  </mergeCells>
  <pageMargins left="0.7" right="0.7" top="0.75" bottom="0.75" header="0.3" footer="0.3"/>
  <pageSetup paperSize="119" orientation="portrait" horizontalDpi="4294967293" verticalDpi="0" r:id="rId1"/>
  <legacyDrawing r:id="rId2"/>
  <oleObjects>
    <oleObject progId="Equation.3" shapeId="1028" r:id="rId3"/>
    <oleObject progId="Equation.3" shapeId="1027" r:id="rId4"/>
    <oleObject progId="Equation.3" shapeId="1026" r:id="rId5"/>
    <oleObject progId="Equation.3" shapeId="1025" r:id="rId6"/>
    <oleObject progId="Equation.3" shapeId="1029" r:id="rId7"/>
    <oleObject progId="Equation.3" shapeId="1030" r:id="rId8"/>
    <oleObject progId="Equation.3" shapeId="1031" r:id="rId9"/>
    <oleObject progId="Equation.3" shapeId="1032" r:id="rId10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3:S39"/>
  <sheetViews>
    <sheetView tabSelected="1" topLeftCell="A3" zoomScale="80" zoomScaleNormal="80" workbookViewId="0">
      <selection activeCell="W27" sqref="W27"/>
    </sheetView>
  </sheetViews>
  <sheetFormatPr defaultRowHeight="15"/>
  <cols>
    <col min="2" max="2" width="48.5703125" customWidth="1"/>
    <col min="3" max="3" width="14.7109375" customWidth="1"/>
    <col min="8" max="8" width="11.140625" customWidth="1"/>
    <col min="9" max="9" width="10.42578125" customWidth="1"/>
    <col min="10" max="10" width="10.140625" customWidth="1"/>
    <col min="11" max="13" width="10.42578125" customWidth="1"/>
    <col min="15" max="15" width="10" customWidth="1"/>
    <col min="18" max="18" width="11" customWidth="1"/>
  </cols>
  <sheetData>
    <row r="3" spans="2:18" ht="34.5" customHeight="1">
      <c r="B3" s="17" t="s">
        <v>33</v>
      </c>
      <c r="C3" s="17" t="s">
        <v>34</v>
      </c>
      <c r="D3" s="17" t="s">
        <v>35</v>
      </c>
      <c r="E3" s="18" t="s">
        <v>36</v>
      </c>
      <c r="F3" s="29"/>
      <c r="H3" s="61" t="s">
        <v>39</v>
      </c>
      <c r="I3" s="61"/>
      <c r="J3" s="61"/>
    </row>
    <row r="4" spans="2:18" ht="21" customHeight="1">
      <c r="B4" s="10" t="s">
        <v>22</v>
      </c>
      <c r="C4" s="11"/>
      <c r="D4" s="21">
        <v>300</v>
      </c>
      <c r="E4" s="13" t="s">
        <v>15</v>
      </c>
      <c r="F4" s="30"/>
      <c r="H4" s="17">
        <v>3</v>
      </c>
      <c r="I4" s="17">
        <v>4</v>
      </c>
      <c r="J4" s="17">
        <v>5</v>
      </c>
    </row>
    <row r="5" spans="2:18" ht="21.75" customHeight="1">
      <c r="B5" s="13" t="s">
        <v>23</v>
      </c>
      <c r="C5" s="11"/>
      <c r="D5" s="21">
        <f xml:space="preserve"> 5260</f>
        <v>5260</v>
      </c>
      <c r="E5" s="13" t="s">
        <v>30</v>
      </c>
      <c r="F5" s="30"/>
    </row>
    <row r="6" spans="2:18" ht="21" customHeight="1">
      <c r="B6" s="14" t="s">
        <v>24</v>
      </c>
      <c r="C6" s="11"/>
      <c r="D6" s="21">
        <f>8150</f>
        <v>8150</v>
      </c>
      <c r="E6" s="13" t="s">
        <v>30</v>
      </c>
      <c r="F6" s="30"/>
      <c r="H6" s="62" t="s">
        <v>49</v>
      </c>
      <c r="I6" s="62"/>
      <c r="J6" s="24"/>
    </row>
    <row r="7" spans="2:18" ht="19.5" customHeight="1">
      <c r="B7" s="13" t="s">
        <v>25</v>
      </c>
      <c r="C7" s="19" t="s">
        <v>31</v>
      </c>
      <c r="D7" s="21">
        <v>60</v>
      </c>
      <c r="E7" s="13" t="s">
        <v>19</v>
      </c>
      <c r="F7" s="30"/>
      <c r="H7" s="62"/>
      <c r="I7" s="62"/>
      <c r="J7" s="24"/>
    </row>
    <row r="8" spans="2:18" ht="20.25" customHeight="1">
      <c r="B8" s="13" t="s">
        <v>26</v>
      </c>
      <c r="C8" s="11" t="s">
        <v>29</v>
      </c>
      <c r="D8" s="21">
        <v>1020</v>
      </c>
      <c r="E8" s="13" t="s">
        <v>20</v>
      </c>
      <c r="F8" s="30"/>
      <c r="H8" s="17" t="s">
        <v>47</v>
      </c>
      <c r="I8" s="17" t="s">
        <v>48</v>
      </c>
    </row>
    <row r="9" spans="2:18" ht="31.5" customHeight="1">
      <c r="B9" s="15" t="s">
        <v>27</v>
      </c>
      <c r="C9" s="16" t="s">
        <v>28</v>
      </c>
      <c r="D9" s="21">
        <v>20</v>
      </c>
      <c r="E9" s="13" t="s">
        <v>32</v>
      </c>
      <c r="F9" s="30"/>
      <c r="H9" s="17">
        <v>1</v>
      </c>
      <c r="I9" s="17">
        <v>0.752</v>
      </c>
    </row>
    <row r="10" spans="2:18" ht="24" customHeight="1">
      <c r="B10" s="13" t="s">
        <v>21</v>
      </c>
      <c r="C10" s="11"/>
      <c r="D10" s="21">
        <f>D5/D9</f>
        <v>263</v>
      </c>
      <c r="E10" s="13" t="s">
        <v>30</v>
      </c>
      <c r="F10" s="30"/>
      <c r="H10" s="63" t="s">
        <v>53</v>
      </c>
      <c r="I10" s="63"/>
    </row>
    <row r="11" spans="2:18" ht="19.5" customHeight="1">
      <c r="B11" s="20" t="s">
        <v>37</v>
      </c>
      <c r="C11" s="16" t="s">
        <v>38</v>
      </c>
      <c r="D11" s="21">
        <f>D4+I4</f>
        <v>304</v>
      </c>
      <c r="E11" s="20" t="s">
        <v>15</v>
      </c>
      <c r="F11" s="23"/>
      <c r="H11" s="17">
        <v>25</v>
      </c>
      <c r="I11" s="17">
        <v>50</v>
      </c>
    </row>
    <row r="12" spans="2:18" ht="15.75">
      <c r="B12" s="20" t="s">
        <v>41</v>
      </c>
      <c r="C12" s="20" t="s">
        <v>40</v>
      </c>
      <c r="D12" s="22">
        <f>1.08*D11</f>
        <v>328.32000000000005</v>
      </c>
      <c r="E12" s="20" t="s">
        <v>15</v>
      </c>
      <c r="F12" s="23"/>
    </row>
    <row r="13" spans="2:18" ht="15.75">
      <c r="B13" s="20" t="s">
        <v>43</v>
      </c>
      <c r="C13" s="12" t="s">
        <v>44</v>
      </c>
      <c r="D13" s="22">
        <v>300</v>
      </c>
      <c r="E13" s="22">
        <v>120</v>
      </c>
      <c r="F13" s="31"/>
    </row>
    <row r="14" spans="2:18" ht="32.25">
      <c r="B14" s="15" t="s">
        <v>45</v>
      </c>
      <c r="C14" s="25" t="s">
        <v>51</v>
      </c>
      <c r="D14" s="26">
        <f>(H9*0.0131*POWER(D10,0.476))</f>
        <v>0.18585328079820612</v>
      </c>
      <c r="E14" s="20" t="s">
        <v>46</v>
      </c>
      <c r="F14" s="20">
        <v>0.19400000000000001</v>
      </c>
      <c r="G14" s="25" t="s">
        <v>51</v>
      </c>
      <c r="H14" s="64" t="s">
        <v>61</v>
      </c>
      <c r="I14" s="64"/>
    </row>
    <row r="15" spans="2:18" ht="18.75">
      <c r="B15" s="15" t="s">
        <v>50</v>
      </c>
      <c r="C15" s="25" t="s">
        <v>52</v>
      </c>
      <c r="D15" s="26">
        <f>((D14*1000)+I11)/1000</f>
        <v>0.23585328079820614</v>
      </c>
      <c r="E15" s="20" t="s">
        <v>46</v>
      </c>
      <c r="F15" s="20">
        <v>0.245</v>
      </c>
      <c r="G15" s="25" t="s">
        <v>52</v>
      </c>
      <c r="H15" s="17" t="s">
        <v>62</v>
      </c>
      <c r="I15" s="17" t="s">
        <v>63</v>
      </c>
      <c r="L15" s="20" t="s">
        <v>42</v>
      </c>
      <c r="M15" s="20"/>
      <c r="N15" s="20"/>
      <c r="O15" s="20"/>
      <c r="P15" s="20"/>
      <c r="Q15" s="20"/>
      <c r="R15" s="20"/>
    </row>
    <row r="16" spans="2:18" ht="18.75">
      <c r="B16" s="20" t="s">
        <v>54</v>
      </c>
      <c r="C16" s="25" t="s">
        <v>56</v>
      </c>
      <c r="D16" s="33">
        <f>100*(((10*D18*F14)/(2*(I16+D18*D19*1000000))+((D21+D22)*10)/(100-D23)))</f>
        <v>2.8902028028044162</v>
      </c>
      <c r="E16" s="20" t="s">
        <v>46</v>
      </c>
      <c r="F16" s="32"/>
      <c r="H16" s="17">
        <v>196</v>
      </c>
      <c r="I16" s="17">
        <v>242</v>
      </c>
    </row>
    <row r="17" spans="2:19" ht="18.75">
      <c r="B17" s="20" t="s">
        <v>55</v>
      </c>
      <c r="C17" s="25" t="s">
        <v>57</v>
      </c>
      <c r="D17" s="33">
        <f>100*(((10*D18*F15)/(2*(I16+D18*D19*1000000))+((D21+D22)*10)/(100-D23)))</f>
        <v>2.890210529672403</v>
      </c>
      <c r="E17" s="20" t="s">
        <v>46</v>
      </c>
      <c r="F17" s="32"/>
    </row>
    <row r="18" spans="2:19" ht="18.75">
      <c r="B18" s="20" t="s">
        <v>58</v>
      </c>
      <c r="C18" s="25" t="s">
        <v>31</v>
      </c>
      <c r="D18" s="27">
        <v>1.4</v>
      </c>
      <c r="E18" s="20"/>
      <c r="F18" s="23"/>
    </row>
    <row r="19" spans="2:19" ht="18.75">
      <c r="B19" s="20" t="s">
        <v>59</v>
      </c>
      <c r="C19" s="25" t="s">
        <v>65</v>
      </c>
      <c r="D19" s="27">
        <v>3.3</v>
      </c>
      <c r="E19" s="20" t="s">
        <v>66</v>
      </c>
      <c r="F19" s="23"/>
      <c r="K19" s="1"/>
    </row>
    <row r="20" spans="2:19" ht="18.75">
      <c r="B20" s="20" t="s">
        <v>60</v>
      </c>
      <c r="C20" s="25" t="s">
        <v>64</v>
      </c>
      <c r="D20" s="27"/>
      <c r="E20" s="20" t="s">
        <v>46</v>
      </c>
      <c r="F20" s="23"/>
      <c r="H20" s="58" t="s">
        <v>82</v>
      </c>
      <c r="I20" s="58"/>
      <c r="J20" s="58"/>
      <c r="K20" s="58"/>
      <c r="L20" s="58"/>
    </row>
    <row r="21" spans="2:19" ht="32.25">
      <c r="B21" s="15" t="s">
        <v>67</v>
      </c>
      <c r="C21" s="25" t="s">
        <v>69</v>
      </c>
      <c r="D21" s="27">
        <v>0.15</v>
      </c>
      <c r="E21" s="20" t="s">
        <v>71</v>
      </c>
      <c r="F21" s="23"/>
      <c r="H21" t="s">
        <v>81</v>
      </c>
      <c r="K21" s="1"/>
    </row>
    <row r="22" spans="2:19" ht="32.25">
      <c r="B22" s="15" t="s">
        <v>68</v>
      </c>
      <c r="C22" s="25" t="s">
        <v>70</v>
      </c>
      <c r="D22" s="28">
        <v>0.1</v>
      </c>
      <c r="E22" s="20" t="s">
        <v>71</v>
      </c>
      <c r="F22" s="23"/>
      <c r="H22">
        <v>66.3</v>
      </c>
    </row>
    <row r="23" spans="2:19" ht="32.25">
      <c r="B23" s="15" t="s">
        <v>72</v>
      </c>
      <c r="C23" s="25" t="s">
        <v>73</v>
      </c>
      <c r="D23" s="34">
        <v>13.5</v>
      </c>
      <c r="E23" s="34"/>
      <c r="F23" s="32"/>
    </row>
    <row r="24" spans="2:19" ht="15.75">
      <c r="B24" s="37" t="s">
        <v>74</v>
      </c>
      <c r="C24" s="38" t="s">
        <v>75</v>
      </c>
      <c r="D24" s="39">
        <f>((0.08*D11)/(POWER(D10,2)))</f>
        <v>3.5160259653891192E-4</v>
      </c>
      <c r="E24" s="38"/>
      <c r="G24" s="35" t="s">
        <v>76</v>
      </c>
      <c r="H24" s="67">
        <f>0*D13</f>
        <v>0</v>
      </c>
      <c r="I24" s="67">
        <f>0.25*D13</f>
        <v>75</v>
      </c>
      <c r="J24" s="67">
        <f>0.5*D13</f>
        <v>150</v>
      </c>
      <c r="K24" s="67">
        <f>0.75*D13</f>
        <v>225</v>
      </c>
      <c r="L24" s="67">
        <f>1*D13</f>
        <v>300</v>
      </c>
      <c r="M24" s="67">
        <f>1.25*D13</f>
        <v>375</v>
      </c>
      <c r="N24" s="65"/>
    </row>
    <row r="25" spans="2:19" ht="18.75">
      <c r="B25" s="15" t="s">
        <v>79</v>
      </c>
      <c r="C25" s="40" t="s">
        <v>80</v>
      </c>
      <c r="D25" s="41">
        <f>D12/H22</f>
        <v>4.9520361990950237</v>
      </c>
      <c r="E25" s="41"/>
      <c r="F25" s="45">
        <v>5</v>
      </c>
      <c r="G25" s="35" t="s">
        <v>77</v>
      </c>
      <c r="H25" s="67"/>
      <c r="I25" s="67"/>
      <c r="J25" s="67"/>
      <c r="K25" s="67"/>
      <c r="L25" s="67"/>
      <c r="M25" s="67"/>
      <c r="N25" s="65"/>
    </row>
    <row r="26" spans="2:19">
      <c r="B26" s="3"/>
      <c r="C26" s="3"/>
      <c r="D26" s="3"/>
      <c r="E26" s="3"/>
      <c r="G26" s="36" t="s">
        <v>78</v>
      </c>
      <c r="H26" s="66">
        <f>D11+(D24*POWER(H24,2))</f>
        <v>304</v>
      </c>
      <c r="I26" s="66">
        <f>D11+(D24*POWER(I24,2))</f>
        <v>305.97776460553138</v>
      </c>
      <c r="J26" s="66">
        <f>D11+(D24*POWER(J24,2))</f>
        <v>311.91105842212551</v>
      </c>
      <c r="K26" s="66">
        <f>D11+(D24*POWER(K24,2))</f>
        <v>321.79988144978239</v>
      </c>
      <c r="L26" s="66">
        <f>D11+(D24*POWER(L24,2))</f>
        <v>335.64423368850208</v>
      </c>
      <c r="M26" s="66">
        <f>D11+(D24*POWER(M24,2))</f>
        <v>353.44411513828447</v>
      </c>
      <c r="N26" s="65"/>
    </row>
    <row r="27" spans="2:19">
      <c r="B27" s="3"/>
      <c r="C27" s="3"/>
      <c r="D27" s="3"/>
      <c r="E27" s="3"/>
      <c r="G27" s="36" t="s">
        <v>12</v>
      </c>
      <c r="H27" s="67"/>
      <c r="I27" s="67"/>
      <c r="J27" s="67"/>
      <c r="K27" s="67"/>
      <c r="L27" s="67"/>
      <c r="M27" s="67"/>
      <c r="N27" s="65"/>
    </row>
    <row r="28" spans="2:19" ht="15.75">
      <c r="B28" s="60" t="s">
        <v>87</v>
      </c>
      <c r="C28" s="60"/>
      <c r="D28" s="3"/>
      <c r="E28" s="3"/>
      <c r="G28" s="43" t="s">
        <v>83</v>
      </c>
      <c r="H28" s="42">
        <v>66.3</v>
      </c>
      <c r="I28" s="42">
        <v>67.5</v>
      </c>
      <c r="J28" s="42">
        <v>67.5</v>
      </c>
      <c r="K28" s="42">
        <v>65</v>
      </c>
      <c r="L28" s="42">
        <v>60</v>
      </c>
      <c r="M28" s="42">
        <v>50</v>
      </c>
    </row>
    <row r="29" spans="2:19" ht="15.75">
      <c r="B29" s="60" t="s">
        <v>87</v>
      </c>
      <c r="C29" s="60"/>
      <c r="D29" s="3"/>
      <c r="E29" s="3"/>
      <c r="G29" s="46" t="s">
        <v>84</v>
      </c>
      <c r="H29" s="42">
        <v>0</v>
      </c>
      <c r="I29" s="42">
        <v>0.36</v>
      </c>
      <c r="J29" s="42">
        <v>0.56000000000000005</v>
      </c>
      <c r="K29" s="42">
        <v>0.72</v>
      </c>
      <c r="L29" s="42">
        <v>0.68</v>
      </c>
      <c r="M29" s="42">
        <v>0.64</v>
      </c>
    </row>
    <row r="30" spans="2:19" ht="15.75">
      <c r="B30" s="60" t="s">
        <v>87</v>
      </c>
      <c r="C30" s="60"/>
      <c r="D30" s="3"/>
      <c r="E30" s="3"/>
      <c r="G30" s="43" t="s">
        <v>85</v>
      </c>
      <c r="H30" s="43" t="s">
        <v>86</v>
      </c>
      <c r="I30" s="43" t="s">
        <v>86</v>
      </c>
      <c r="J30" s="43" t="s">
        <v>86</v>
      </c>
      <c r="K30" s="44">
        <v>6.2</v>
      </c>
      <c r="L30" s="44">
        <v>4.3</v>
      </c>
      <c r="M30" s="44">
        <v>1.3</v>
      </c>
    </row>
    <row r="31" spans="2:19" ht="23.25" customHeight="1">
      <c r="B31" s="3"/>
      <c r="C31" s="3"/>
      <c r="D31" s="3"/>
      <c r="E31" s="3"/>
      <c r="G31" s="54" t="s">
        <v>88</v>
      </c>
      <c r="H31" s="15">
        <f>H28*F25</f>
        <v>331.5</v>
      </c>
      <c r="I31" s="15">
        <f>F25*I28</f>
        <v>337.5</v>
      </c>
      <c r="J31" s="15">
        <f>J28*F25</f>
        <v>337.5</v>
      </c>
      <c r="K31" s="15">
        <f>K28*F25</f>
        <v>325</v>
      </c>
      <c r="L31" s="15">
        <f>L28*F25</f>
        <v>300</v>
      </c>
      <c r="M31" s="15">
        <f>M28*F25</f>
        <v>250</v>
      </c>
      <c r="O31" s="70" t="s">
        <v>92</v>
      </c>
      <c r="P31" s="71"/>
      <c r="Q31" s="71"/>
      <c r="R31" s="71"/>
      <c r="S31" s="72"/>
    </row>
    <row r="32" spans="2:19" ht="18" customHeight="1">
      <c r="B32" s="3"/>
      <c r="C32" s="3"/>
      <c r="D32" s="3"/>
      <c r="E32" s="3"/>
      <c r="O32" s="54" t="s">
        <v>89</v>
      </c>
      <c r="P32" s="54" t="s">
        <v>90</v>
      </c>
      <c r="Q32" s="47" t="s">
        <v>84</v>
      </c>
      <c r="R32" s="47" t="s">
        <v>91</v>
      </c>
      <c r="S32" s="54" t="s">
        <v>88</v>
      </c>
    </row>
    <row r="33" spans="7:19" ht="15.75">
      <c r="G33" s="48"/>
      <c r="H33" s="68"/>
      <c r="I33" s="68"/>
      <c r="J33" s="68"/>
      <c r="K33" s="68"/>
      <c r="L33" s="68"/>
      <c r="M33" s="68"/>
      <c r="O33" s="27">
        <f>H24</f>
        <v>0</v>
      </c>
      <c r="P33" s="21">
        <f>H26</f>
        <v>304</v>
      </c>
      <c r="Q33" s="27">
        <f>H29</f>
        <v>0</v>
      </c>
      <c r="R33" s="27" t="str">
        <f>H30</f>
        <v>-</v>
      </c>
      <c r="S33" s="27">
        <f>H31</f>
        <v>331.5</v>
      </c>
    </row>
    <row r="34" spans="7:19" ht="15.75">
      <c r="G34" s="48"/>
      <c r="H34" s="68"/>
      <c r="I34" s="68"/>
      <c r="J34" s="68"/>
      <c r="K34" s="68"/>
      <c r="L34" s="68"/>
      <c r="M34" s="68"/>
      <c r="O34" s="27">
        <f>I24</f>
        <v>75</v>
      </c>
      <c r="P34" s="21">
        <f>I26</f>
        <v>305.97776460553138</v>
      </c>
      <c r="Q34" s="27">
        <f>I29</f>
        <v>0.36</v>
      </c>
      <c r="R34" s="27" t="str">
        <f>I30</f>
        <v>-</v>
      </c>
      <c r="S34" s="27">
        <f>I31</f>
        <v>337.5</v>
      </c>
    </row>
    <row r="35" spans="7:19" ht="15.75">
      <c r="G35" s="49"/>
      <c r="H35" s="69"/>
      <c r="I35" s="69"/>
      <c r="J35" s="69"/>
      <c r="K35" s="69"/>
      <c r="L35" s="69"/>
      <c r="M35" s="69"/>
      <c r="O35" s="27">
        <f>J24</f>
        <v>150</v>
      </c>
      <c r="P35" s="21">
        <f>J26</f>
        <v>311.91105842212551</v>
      </c>
      <c r="Q35" s="27">
        <f>J29</f>
        <v>0.56000000000000005</v>
      </c>
      <c r="R35" s="27" t="str">
        <f>J30</f>
        <v>-</v>
      </c>
      <c r="S35" s="27">
        <f>J31</f>
        <v>337.5</v>
      </c>
    </row>
    <row r="36" spans="7:19" ht="15.75">
      <c r="G36" s="49"/>
      <c r="H36" s="68"/>
      <c r="I36" s="68"/>
      <c r="J36" s="68"/>
      <c r="K36" s="68"/>
      <c r="L36" s="68"/>
      <c r="M36" s="68"/>
      <c r="O36" s="27">
        <f>K24</f>
        <v>225</v>
      </c>
      <c r="P36" s="21">
        <f>K26</f>
        <v>321.79988144978239</v>
      </c>
      <c r="Q36" s="27">
        <f>K29</f>
        <v>0.72</v>
      </c>
      <c r="R36" s="27">
        <f>K30</f>
        <v>6.2</v>
      </c>
      <c r="S36" s="27">
        <f>K31</f>
        <v>325</v>
      </c>
    </row>
    <row r="37" spans="7:19" ht="15.75">
      <c r="G37" s="50"/>
      <c r="H37" s="51"/>
      <c r="I37" s="51"/>
      <c r="J37" s="51"/>
      <c r="K37" s="51"/>
      <c r="L37" s="51"/>
      <c r="M37" s="51"/>
      <c r="O37" s="27">
        <f>L24</f>
        <v>300</v>
      </c>
      <c r="P37" s="21">
        <f>L26</f>
        <v>335.64423368850208</v>
      </c>
      <c r="Q37" s="27">
        <f>L29</f>
        <v>0.68</v>
      </c>
      <c r="R37" s="27">
        <f>L30</f>
        <v>4.3</v>
      </c>
      <c r="S37" s="27">
        <f>L31</f>
        <v>300</v>
      </c>
    </row>
    <row r="38" spans="7:19" ht="15.75">
      <c r="G38" s="52"/>
      <c r="H38" s="52"/>
      <c r="I38" s="52"/>
      <c r="J38" s="52"/>
      <c r="K38" s="51"/>
      <c r="L38" s="51"/>
      <c r="M38" s="51"/>
      <c r="O38" s="27">
        <f>M24</f>
        <v>375</v>
      </c>
      <c r="P38" s="21">
        <f>M26</f>
        <v>353.44411513828447</v>
      </c>
      <c r="Q38" s="27">
        <f>M29</f>
        <v>0.64</v>
      </c>
      <c r="R38" s="27">
        <f>M30</f>
        <v>1.3</v>
      </c>
      <c r="S38" s="27">
        <f>M31</f>
        <v>250</v>
      </c>
    </row>
    <row r="39" spans="7:19" ht="15.75">
      <c r="G39" s="53"/>
      <c r="H39" s="51"/>
      <c r="I39" s="51"/>
      <c r="J39" s="51"/>
      <c r="K39" s="51"/>
      <c r="L39" s="51"/>
      <c r="M39" s="51"/>
    </row>
  </sheetData>
  <mergeCells count="35">
    <mergeCell ref="M35:M36"/>
    <mergeCell ref="O31:S31"/>
    <mergeCell ref="I33:I34"/>
    <mergeCell ref="J33:J34"/>
    <mergeCell ref="K33:K34"/>
    <mergeCell ref="L33:L34"/>
    <mergeCell ref="M33:M34"/>
    <mergeCell ref="H33:H34"/>
    <mergeCell ref="H35:H36"/>
    <mergeCell ref="H20:L20"/>
    <mergeCell ref="B28:C28"/>
    <mergeCell ref="B29:C29"/>
    <mergeCell ref="B30:C30"/>
    <mergeCell ref="I35:I36"/>
    <mergeCell ref="J35:J36"/>
    <mergeCell ref="K35:K36"/>
    <mergeCell ref="L35:L36"/>
    <mergeCell ref="M26:M27"/>
    <mergeCell ref="N26:N27"/>
    <mergeCell ref="H24:H25"/>
    <mergeCell ref="I24:I25"/>
    <mergeCell ref="J24:J25"/>
    <mergeCell ref="K24:K25"/>
    <mergeCell ref="L24:L25"/>
    <mergeCell ref="M24:M25"/>
    <mergeCell ref="H26:H27"/>
    <mergeCell ref="I26:I27"/>
    <mergeCell ref="J26:J27"/>
    <mergeCell ref="K26:K27"/>
    <mergeCell ref="L26:L27"/>
    <mergeCell ref="H3:J3"/>
    <mergeCell ref="H6:I7"/>
    <mergeCell ref="H10:I10"/>
    <mergeCell ref="H14:I14"/>
    <mergeCell ref="N24:N25"/>
  </mergeCells>
  <pageMargins left="0.7" right="0.7" top="0.75" bottom="0.75" header="0.3" footer="0.3"/>
  <pageSetup paperSize="119" orientation="portrait" horizontalDpi="4294967293" verticalDpi="0" r:id="rId1"/>
  <drawing r:id="rId2"/>
  <legacyDrawing r:id="rId3"/>
  <oleObjects>
    <oleObject progId="Equation.3" shapeId="2049" r:id="rId4"/>
    <oleObject progId="Equation.3" shapeId="2050" r:id="rId5"/>
    <oleObject progId="Equation.3" shapeId="2051" r:id="rId6"/>
    <oleObject progId="Equation.3" shapeId="2053" r:id="rId7"/>
    <oleObject progId="Equation.3" shapeId="2059" r:id="rId8"/>
    <oleObject progId="Equation.3" shapeId="2058" r:id="rId9"/>
    <oleObject progId="Equation.3" shapeId="2063" r:id="rId10"/>
    <oleObject progId="Equation.3" shapeId="2062" r:id="rId11"/>
    <oleObject progId="Equation.3" shapeId="2073" r:id="rId12"/>
    <oleObject progId="Equation.3" shapeId="2074" r:id="rId13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2020-11-04T19:52:45Z</dcterms:created>
  <dcterms:modified xsi:type="dcterms:W3CDTF">2022-12-12T19:35:43Z</dcterms:modified>
</cp:coreProperties>
</file>